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98482D23-64ED-4C7B-9463-689A500B93B1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<sst xmlns="http://schemas.openxmlformats.org/spreadsheetml/2006/main" count="284" uniqueCount="199">
  <si>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</si>
  <si>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</si>
  <si>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</si>
  <si>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</si>
  <si>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</si>
  <si>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</si>
  <si>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</si>
  <si>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</si>
  <si>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</si>
  <si>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</si>
  <si>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</si>
  <si>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</si>
  <si>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</si>
  <si>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</si>
  <si>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</si>
  <si>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</si>
  <si>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</si>
  <si>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</si>
  <si>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</si>
  <si>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</si>
  <si>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</si>
  <si>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</si>
  <si>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</si>
  <si>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</si>
  <si>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</si>
  <si>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</si>
  <si>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</si>
  <si>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</si>
  <si>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</si>
  <si>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</si>
  <si>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</si>
  <si>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</si>
  <si>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</si>
  <si>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</si>
  <si>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</si>
  <si>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</si>
  <si>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</si>
  <si>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</si>
  <si>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</si>
  <si>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</si>
  <si>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</si>
  <si>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</si>
  <si>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</si>
  <si>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</si>
  <si>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</si>
  <si>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</si>
  <si>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</si>
  <si>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</si>
  <si>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</si>
  <si>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</si>
  <si>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</si>
  <si>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</si>
  <si>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</si>
  <si>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</si>
  <si>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</si>
  <si>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</si>
  <si>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</si>
  <si>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</si>
  <si>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</si>
  <si>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</si>
  <si>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</si>
  <si>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</si>
  <si>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</si>
  <si>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</si>
  <si>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</si>
  <si>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</si>
  <si>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</si>
  <si>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</si>
  <si>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</si>
  <si>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</si>
  <si>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</si>
  <si>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</si>
  <si>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</si>
  <si>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</si>
  <si>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</si>
  <si>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</si>
  <si>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</si>
  <si>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</si>
  <si>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</si>
  <si>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</si>
  <si>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</si>
  <si>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</si>
  <si>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</si>
  <si>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</si>
  <si>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</si>
  <si>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</si>
  <si>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</si>
  <si>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</si>
  <si>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</si>
  <si>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</si>
  <si>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</si>
  <si>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</si>
  <si>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</si>
  <si>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</si>
  <si>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</si>
  <si>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</si>
  <si>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</si>
  <si>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</si>
  <si>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</si>
  <si>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</si>
  <si>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</si>
  <si>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</si>
  <si>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</si>
  <si>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</si>
  <si>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</si>
  <si>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</si>
  <si>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</si>
  <si>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</si>
  <si>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</si>
  <si>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</si>
  <si>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</si>
  <si>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</si>
  <si>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</si>
  <si>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</si>
  <si>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</si>
  <si>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</si>
  <si>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</si>
  <si>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</si>
  <si>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</si>
  <si>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</si>
  <si>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</si>
  <si>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</si>
  <si>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</si>
  <si>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</si>
  <si>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</si>
  <si>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</si>
  <si>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</si>
  <si>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</si>
  <si>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</si>
  <si>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</si>
  <si>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</si>
  <si>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</si>
  <si>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</si>
  <si>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</si>
  <si>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</si>
  <si>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</si>
  <si>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</si>
  <si>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</si>
  <si>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</si>
  <si>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</si>
  <si>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</si>
  <si>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</si>
  <si>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</si>
  <si>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</si>
  <si>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</si>
  <si>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</si>
  <si>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</si>
  <si>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</si>
  <si>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</si>
  <si>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</si>
  <si>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</si>
  <si>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</si>
  <si>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</si>
  <si>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</si>
  <si>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</si>
  <si>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</si>
  <si>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</si>
  <si>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</si>
  <si>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</si>
  <si>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</si>
  <si>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</si>
  <si>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</si>
  <si>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</si>
  <si>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</si>
  <si>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</si>
  <si>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</si>
  <si>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</si>
  <si>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</si>
  <si>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</si>
  <si>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</si>
  <si>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</si>
  <si>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</si>
  <si>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</si>
  <si>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</si>
  <si>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</si>
  <si>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</si>
  <si>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</si>
  <si>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</si>
  <si>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</si>
  <si>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</si>
  <si>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</si>
  <si>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</si>
  <si>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</si>
  <si>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</si>
  <si>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</si>
  <si>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</si>
  <si>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</si>
  <si>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</si>
  <si>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</si>
  <si>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</si>
  <si>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</si>
  <si>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Zorneding</t>
  </si>
  <si>
    <t>Stand: 15.02.2023</t>
  </si>
  <si>
    <t>Die Gemeinde Zorneding setzt sich folgende Ziele:</t>
  </si>
  <si>
    <t>Baldham</t>
  </si>
  <si>
    <t>Ingelsberg</t>
  </si>
  <si>
    <t>Pöring</t>
  </si>
  <si>
    <t>Wolfesing</t>
  </si>
  <si>
    <t>Zorneding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</si>
</sst>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47175.51</c:v>
                </c:pt>
                <c:pt idx="1">
                  <c:v>41622.626532428985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39021.29</c:v>
                </c:pt>
                <c:pt idx="1">
                  <c:v>52297.728047616183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1853.83</c:v>
                </c:pt>
                <c:pt idx="1">
                  <c:v>1928.7925322575852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8649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79403</c:v>
                </c:pt>
                <c:pt idx="1">
                  <c:v>95849.147112302759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88052</c:v>
                </c:pt>
                <c:pt idx="1">
                  <c:v>95849.147112302759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11377.88</c:v>
                </c:pt>
                <c:pt idx="1">
                  <c:v>8767.669712134355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9425.4000000000015</c:v>
                </c:pt>
                <c:pt idx="1">
                  <c:v>10572.537316978269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537.80999999999995</c:v>
                </c:pt>
                <c:pt idx="1">
                  <c:v>368.15525337079197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16858.08510638298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2667</c:v>
                </c:pt>
                <c:pt idx="1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22988.83</c:v>
                </c:pt>
                <c:pt idx="1">
                  <c:v>33899.447388866392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25655.83</c:v>
                </c:pt>
                <c:pt idx="1">
                  <c:v>36566.447388866392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6779.8894777732794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23003.795306952663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95.849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88.052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9 %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95849.147112302759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95849.147112302759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95849.147112302759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47175.51</v>
      </c>
      <c r="E78" s="177">
        <f>LOOKUP('Basis-Annahmen'!E5,'Nachfrage &amp; Erzeugung'!D36:G36,'Nachfrage &amp; Erzeugung'!D38:G38)</f>
        <v>41622.626532428985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39021.29</v>
      </c>
      <c r="E79" s="177">
        <f>LOOKUP('Basis-Annahmen'!E5,'Nachfrage &amp; Erzeugung'!D36:G36,'Nachfrage &amp; Erzeugung'!D39:G39)</f>
        <v>52297.728047616183</v>
      </c>
      <c r="F79" s="175"/>
      <c r="G79" s="176" t="s">
        <v>55</v>
      </c>
      <c r="H79" s="177">
        <f>'Nachfrage &amp; Erzeugung'!C46</f>
        <v>8649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1853.83</v>
      </c>
      <c r="E80" s="177">
        <f>LOOKUP('Basis-Annahmen'!E5,'Nachfrage &amp; Erzeugung'!D36:G36,'Nachfrage &amp; Erzeugung'!D40:G40)</f>
        <v>1928.7925322575852</v>
      </c>
      <c r="F80" s="175"/>
      <c r="G80" s="176" t="str">
        <f>'Nachfrage &amp; Erzeugung'!B47</f>
        <v>Nicht erneuerbare Wärmeerzeugung</v>
      </c>
      <c r="H80" s="177">
        <f>MAX(0,H82-H79)</f>
        <v>79403</v>
      </c>
      <c r="I80" s="177">
        <f>MAX(0,I82-I79)</f>
        <v>95849.147112302759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88052</v>
      </c>
      <c r="E82" s="177">
        <f>LOOKUP('Basis-Annahmen'!E5,'Nachfrage &amp; Erzeugung'!D36:G36,'Nachfrage &amp; Erzeugung'!D37:G37)</f>
        <v>95849.147112302759</v>
      </c>
      <c r="F82" s="175"/>
      <c r="G82" s="176" t="s">
        <v>82</v>
      </c>
      <c r="H82" s="177">
        <f>'Nachfrage &amp; Erzeugung'!C37</f>
        <v>88052</v>
      </c>
      <c r="I82" s="177">
        <f>LOOKUP('Basis-Annahmen'!E5,'Nachfrage &amp; Erzeugung'!D36:G36,'Nachfrage &amp; Erzeugung'!D37:G37)</f>
        <v>95849.147112302759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8.8551618501598581E-2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36.566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43 %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46 %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252000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26941.05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77668.56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2667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2667</v>
      </c>
      <c r="G32" s="256"/>
      <c r="H32" s="248">
        <f>SUM(H27:H31)</f>
        <v>356609.61</v>
      </c>
      <c r="I32" s="248"/>
      <c r="J32" s="245">
        <f>IF(H32&gt;0,F32/H32,0)</f>
        <v>7.4787664864107281E-3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11377.88</v>
      </c>
      <c r="E76" s="186">
        <f>LOOKUP('Basis-Annahmen'!E5,'Nachfrage &amp; Erzeugung'!D9:G9,'Nachfrage &amp; Erzeugung'!D11:G11)</f>
        <v>8767.669712134355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9425.4000000000015</v>
      </c>
      <c r="E77" s="186">
        <f>LOOKUP('Basis-Annahmen'!E5,'Nachfrage &amp; Erzeugung'!D9:G9,'Nachfrage &amp; Erzeugung'!D12:G12)</f>
        <v>10572.537316978269</v>
      </c>
      <c r="F77" s="175"/>
      <c r="G77" s="176" t="s">
        <v>103</v>
      </c>
      <c r="H77" s="186">
        <f>'Nachfrage &amp; Erzeugung'!C21</f>
        <v>2667</v>
      </c>
      <c r="I77" s="186">
        <f>F31</f>
        <v>2667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537.80999999999995</v>
      </c>
      <c r="E78" s="186">
        <f>LOOKUP('Basis-Annahmen'!E5,'Nachfrage &amp; Erzeugung'!D9:G9,'Nachfrage &amp; Erzeugung'!D13:G13)</f>
        <v>368.15525337079197</v>
      </c>
      <c r="F78" s="175"/>
      <c r="G78" s="176" t="str">
        <f>'Nachfrage &amp; Erzeugung'!B29</f>
        <v>Nicht aus lokalen EE gedeckter Strombedarf</v>
      </c>
      <c r="H78" s="186">
        <f>'Nachfrage &amp; Erzeugung'!C29</f>
        <v>22988.83</v>
      </c>
      <c r="I78" s="186">
        <f>MAX(0,E82-SUM(I79:I82)-I77)</f>
        <v>33899.447388866392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16858.08510638298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25655.83</v>
      </c>
      <c r="E82" s="186">
        <f>LOOKUP('Basis-Annahmen'!E5,'Nachfrage &amp; Erzeugung'!D9:G9,'Nachfrage &amp; Erzeugung'!D10:G10)</f>
        <v>36566.447388866392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0.42526854086834803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0.46102605831803783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9800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33899.447388866392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6779.8894777732794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0.69182545691564079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95849.147112302759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23003.795306952663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2.3473260517298637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2.4900000000000002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29783.684784725941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3.0391515086455048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6779.8894777732794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23003.795306952663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8.5343228200371064E-3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2.1521335807050092E-2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9400</v>
      </c>
      <c r="F34" s="69">
        <v>9500</v>
      </c>
      <c r="G34" s="69">
        <v>9600</v>
      </c>
      <c r="H34" s="69">
        <v>9700</v>
      </c>
      <c r="I34" s="70">
        <v>9800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1.0638297872340425E-2</v>
      </c>
      <c r="G36" s="67">
        <f>(G34-F34)/F34</f>
        <v>1.0526315789473684E-2</v>
      </c>
      <c r="H36" s="67">
        <f>(H34-G34)/G34</f>
        <v>1.0416666666666666E-2</v>
      </c>
      <c r="I36" s="68">
        <f>(I34-H34)/H34</f>
        <v>1.0309278350515464E-2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47.623357354811361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0.57340425531914896</v>
      </c>
      <c r="F44" s="73">
        <f>E44*(1+(F13*(F43-E43)))</f>
        <v>0.57340425531914896</v>
      </c>
      <c r="G44" s="73">
        <f t="shared" ref="G44:I44" si="0">F44*(1+(G13*(G43-F43)))</f>
        <v>0.57340425531914896</v>
      </c>
      <c r="H44" s="73">
        <f t="shared" si="0"/>
        <v>0.57340425531914896</v>
      </c>
      <c r="I44" s="190">
        <f t="shared" si="0"/>
        <v>0.57340425531914896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5390</v>
      </c>
      <c r="F45" s="36">
        <f>F44*F34</f>
        <v>5447.3404255319147</v>
      </c>
      <c r="G45" s="36">
        <f t="shared" ref="G45:I45" si="1">G44*G34</f>
        <v>5504.6808510638302</v>
      </c>
      <c r="H45" s="36">
        <f t="shared" si="1"/>
        <v>5562.0212765957449</v>
      </c>
      <c r="I45" s="74">
        <f t="shared" si="1"/>
        <v>5619.3617021276596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46</v>
      </c>
      <c r="F46" s="36">
        <f>F$45*F$14</f>
        <v>272.36702127659572</v>
      </c>
      <c r="G46" s="36">
        <f>G$45*G$14</f>
        <v>1651.4042553191491</v>
      </c>
      <c r="H46" s="36">
        <f>H$45*H$14</f>
        <v>3337.2127659574467</v>
      </c>
      <c r="I46" s="74">
        <f>I$45*I$14</f>
        <v>5619.3617021276596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116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25655.83</v>
      </c>
      <c r="D10" s="94">
        <f>D11+D12+D13+D14+D15</f>
        <v>21098.444533016886</v>
      </c>
      <c r="E10" s="94">
        <f>E11+E12+E13+E14+D15</f>
        <v>24979.259383514938</v>
      </c>
      <c r="F10" s="94">
        <f>F11+F12+F13+F14+D15</f>
        <v>29846.209123171604</v>
      </c>
      <c r="G10" s="95">
        <f>G11+G12+G13+G14+D15</f>
        <v>36566.447388866392</v>
      </c>
      <c r="H10" s="14"/>
    </row>
    <row r="11" spans="1:8" ht="19.5" customHeight="1" x14ac:dyDescent="0.2">
      <c r="B11" s="88" t="s">
        <v>6</v>
      </c>
      <c r="C11" s="96">
        <v>11377.88</v>
      </c>
      <c r="D11" s="97">
        <f>C11/'Basis-Annahmen'!E34*((1-'Basis-Annahmen'!F19)^(D9-C9))*'Basis-Annahmen'!F34</f>
        <v>10661.989567062772</v>
      </c>
      <c r="E11" s="97">
        <f>D11/'Basis-Annahmen'!F34*((1-'Basis-Annahmen'!G19)^5)*'Basis-Annahmen'!G34</f>
        <v>9990.0355448899973</v>
      </c>
      <c r="F11" s="97">
        <f>E11/'Basis-Annahmen'!G34*((1-'Basis-Annahmen'!H19)^5)*'Basis-Annahmen'!H34</f>
        <v>9359.4146270291039</v>
      </c>
      <c r="G11" s="98">
        <f>F11/'Basis-Annahmen'!H34*((1-'Basis-Annahmen'!I19)^5)*'Basis-Annahmen'!I34</f>
        <v>8767.669712134355</v>
      </c>
      <c r="H11" s="14"/>
    </row>
    <row r="12" spans="1:8" ht="19.5" customHeight="1" x14ac:dyDescent="0.2">
      <c r="B12" s="88" t="s">
        <v>104</v>
      </c>
      <c r="C12" s="96">
        <v>9425.4000000000015</v>
      </c>
      <c r="D12" s="97">
        <f>((1-'Basis-Annahmen'!F20)^(D9-C9))*((1+'Basis-Annahmen'!F9)^(D9-C9))*C12</f>
        <v>9157.5181557626092</v>
      </c>
      <c r="E12" s="97">
        <f>((1-'Basis-Annahmen'!G20)^5)*((1+'Basis-Annahmen'!G9)^5)*D12</f>
        <v>9606.7893472585638</v>
      </c>
      <c r="F12" s="97">
        <f>((1-'Basis-Annahmen'!H20)^5)*((1+'Basis-Annahmen'!H9)^5)*E12</f>
        <v>10078.10194779952</v>
      </c>
      <c r="G12" s="98">
        <f>((1-'Basis-Annahmen'!I20)^5)*((1+'Basis-Annahmen'!I9)^5)*F12</f>
        <v>10572.537316978269</v>
      </c>
      <c r="H12" s="14"/>
    </row>
    <row r="13" spans="1:8" ht="19.5" customHeight="1" x14ac:dyDescent="0.2">
      <c r="B13" s="88" t="s">
        <v>7</v>
      </c>
      <c r="C13" s="96">
        <v>537.80999999999995</v>
      </c>
      <c r="D13" s="97">
        <f>C13*((1-'Basis-Annahmen'!F20)^(D9-C9))</f>
        <v>461.83574636171693</v>
      </c>
      <c r="E13" s="97">
        <f>D13*((1-'Basis-Annahmen'!G20)^5)</f>
        <v>428.2217254089291</v>
      </c>
      <c r="F13" s="97">
        <f>E13*((1-'Basis-Annahmen'!H20)^5)</f>
        <v>397.05425047064034</v>
      </c>
      <c r="G13" s="98">
        <f>F13*((1-'Basis-Annahmen'!I20)^5)</f>
        <v>368.15525337079197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817.10106382978711</v>
      </c>
      <c r="E14" s="97">
        <f>'Basis-Annahmen'!G46*'Basis-Annahmen'!G51+'Basis-Annahmen'!G47*'Basis-Annahmen'!G52</f>
        <v>4954.2127659574471</v>
      </c>
      <c r="F14" s="97">
        <f>'Basis-Annahmen'!H46*'Basis-Annahmen'!H51+'Basis-Annahmen'!H47*'Basis-Annahmen'!H52</f>
        <v>10011.63829787234</v>
      </c>
      <c r="G14" s="98">
        <f>'Basis-Annahmen'!I46*'Basis-Annahmen'!I51+'Basis-Annahmen'!I47*'Basis-Annahmen'!I52</f>
        <v>16858.08510638298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-0.17763547181997683</v>
      </c>
      <c r="E16" s="101">
        <f>(E10-$C$10)/$C$10</f>
        <v>-2.6371028202364276E-2</v>
      </c>
      <c r="F16" s="101">
        <f t="shared" ref="F16" si="0">(F10-$C$10)/$C$10</f>
        <v>0.1633304836823288</v>
      </c>
      <c r="G16" s="102">
        <f>(G10-$C$10)/$C$10</f>
        <v>0.42526854086834803</v>
      </c>
      <c r="H16" s="14"/>
    </row>
    <row r="17" spans="1:10" ht="19.5" customHeight="1" x14ac:dyDescent="0.2">
      <c r="B17" s="89" t="s">
        <v>97</v>
      </c>
      <c r="C17" s="107"/>
      <c r="D17" s="104">
        <f>D14/D10</f>
        <v>3.8728023885889237E-2</v>
      </c>
      <c r="E17" s="104">
        <f>E14/E10</f>
        <v>0.19833305262953391</v>
      </c>
      <c r="F17" s="104">
        <f>F14/F10</f>
        <v>0.33544086810340135</v>
      </c>
      <c r="G17" s="105">
        <f>G14/G10</f>
        <v>0.46102605831803783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2667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2667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0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22988.83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88052</v>
      </c>
      <c r="D37" s="94">
        <f>SUM(D38:D40)</f>
        <v>89752.294033823622</v>
      </c>
      <c r="E37" s="94">
        <f>SUM(E38:E40)</f>
        <v>91583.8393256813</v>
      </c>
      <c r="F37" s="94">
        <f t="shared" ref="F37:G37" si="1">SUM(F38:F40)</f>
        <v>93586.178654853124</v>
      </c>
      <c r="G37" s="95">
        <f t="shared" si="1"/>
        <v>95849.147112302759</v>
      </c>
      <c r="H37" s="14"/>
    </row>
    <row r="38" spans="1:8" ht="19.5" customHeight="1" x14ac:dyDescent="0.2">
      <c r="A38" s="14"/>
      <c r="B38" s="113" t="s">
        <v>6</v>
      </c>
      <c r="C38" s="96">
        <v>47175.51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45894.441687155573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44518.126659601519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43070.376596015252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41622.626532428985</v>
      </c>
      <c r="H38" s="14"/>
    </row>
    <row r="39" spans="1:8" ht="19.5" customHeight="1" x14ac:dyDescent="0.2">
      <c r="A39" s="14"/>
      <c r="B39" s="113" t="s">
        <v>104</v>
      </c>
      <c r="C39" s="96">
        <v>39021.29</v>
      </c>
      <c r="D39" s="97">
        <f>C39*((1-'Basis-Annahmen'!F$24)^(D36-C36))*((1+'Basis-Annahmen'!F$9)^(D36-C36))</f>
        <v>41985.267305346708</v>
      </c>
      <c r="E39" s="97">
        <f>((1-'Basis-Annahmen'!G$24)^5)*((1+'Basis-Annahmen'!G$9)^5)*'Nachfrage &amp; Erzeugung'!D39</f>
        <v>45174.382259054357</v>
      </c>
      <c r="F39" s="97">
        <f>((1-'Basis-Annahmen'!H$24)^5)*((1+'Basis-Annahmen'!H$9)^5)*'Nachfrage &amp; Erzeugung'!E39</f>
        <v>48605.735855998333</v>
      </c>
      <c r="G39" s="98">
        <f>((1-'Basis-Annahmen'!I$24)^5)*((1+'Basis-Annahmen'!I$9)^5)*'Nachfrage &amp; Erzeugung'!F39</f>
        <v>52297.728047616183</v>
      </c>
      <c r="H39" s="14"/>
    </row>
    <row r="40" spans="1:8" ht="19.5" customHeight="1" x14ac:dyDescent="0.2">
      <c r="A40" s="14"/>
      <c r="B40" s="113" t="s">
        <v>7</v>
      </c>
      <c r="C40" s="96">
        <v>1853.83</v>
      </c>
      <c r="D40" s="97">
        <f>C40+(C40*'Basis-Annahmen'!F36)*((1-'Basis-Annahmen'!F24)^(D36-C36))</f>
        <v>1872.5850413213416</v>
      </c>
      <c r="E40" s="97">
        <f>D40+(D40*'Basis-Annahmen'!G36)*((1-'Basis-Annahmen'!G24)^5)</f>
        <v>1891.3304070254276</v>
      </c>
      <c r="F40" s="97">
        <f>E40+(E40*'Basis-Annahmen'!H36)*((1-'Basis-Annahmen'!H24)^5)</f>
        <v>1910.066202839537</v>
      </c>
      <c r="G40" s="98">
        <f>F40+(F40*'Basis-Annahmen'!I36)*((1-'Basis-Annahmen'!I24)^5)</f>
        <v>1928.7925322575852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1.9310112590555831E-2</v>
      </c>
      <c r="E42" s="104">
        <f>(E37-$C$37)/$C$37</f>
        <v>4.011083593423545E-2</v>
      </c>
      <c r="F42" s="104">
        <f>(F37-$C$37)/$C$37</f>
        <v>6.2851254427532866E-2</v>
      </c>
      <c r="G42" s="105">
        <f>(G37-$C$37)/$C$37</f>
        <v>8.8551618501598581E-2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8649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79403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4.8820729056055001E-4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3.0491523017255166E-2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0.22522220720805852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4.7036716103884289E-2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0.69676134638024145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252000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28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26941.05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179607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77668.56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107.873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